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Объектный сметный расчет" sheetId="1" r:id="rId1"/>
  </sheets>
  <definedNames>
    <definedName name="_xlnm.Print_Titles" localSheetId="0">'Объектный сметный расчет'!$19:$19</definedName>
  </definedNames>
  <calcPr fullCalcOnLoad="1"/>
</workbook>
</file>

<file path=xl/sharedStrings.xml><?xml version="1.0" encoding="utf-8"?>
<sst xmlns="http://schemas.openxmlformats.org/spreadsheetml/2006/main" count="79" uniqueCount="75">
  <si>
    <t>(наименование стройки)</t>
  </si>
  <si>
    <t>(объектная смета)</t>
  </si>
  <si>
    <t>на строительство</t>
  </si>
  <si>
    <t>(наименование объекта)</t>
  </si>
  <si>
    <t>Расчетный измеритель единичной стоимости</t>
  </si>
  <si>
    <t>№ пп</t>
  </si>
  <si>
    <t>монтажных работ</t>
  </si>
  <si>
    <t>оборудования, мебели, инвентаря</t>
  </si>
  <si>
    <t>прочих</t>
  </si>
  <si>
    <t>всего</t>
  </si>
  <si>
    <t>Номера сметных расчетов (смет)</t>
  </si>
  <si>
    <t>Наименование работ и затрат</t>
  </si>
  <si>
    <t>строительных работ</t>
  </si>
  <si>
    <t>Сметная стоимость, тыс. руб.</t>
  </si>
  <si>
    <t>Локальные сметные расчеты</t>
  </si>
  <si>
    <t>ЛС 02-01-01</t>
  </si>
  <si>
    <t>Общестроительные работы ниже -0.000</t>
  </si>
  <si>
    <t>ЛС 02-01-02</t>
  </si>
  <si>
    <t>Архитектурные решения</t>
  </si>
  <si>
    <t>ЛС 02-01-03</t>
  </si>
  <si>
    <t>Общестроительные работы выше 0.000</t>
  </si>
  <si>
    <t>ЛС 02-01-04</t>
  </si>
  <si>
    <t>ЛС 02-01-05</t>
  </si>
  <si>
    <t>Дренаж внутренний</t>
  </si>
  <si>
    <t>ЛС 02-01-06</t>
  </si>
  <si>
    <t>Подкрановые пути</t>
  </si>
  <si>
    <t>ЛС 02-01-07</t>
  </si>
  <si>
    <t>Отопление и вентиляцию</t>
  </si>
  <si>
    <t>ЛС 02-01-08</t>
  </si>
  <si>
    <t>Заказ лифта грузового</t>
  </si>
  <si>
    <t>ЛС 02-01-09</t>
  </si>
  <si>
    <t>Заказ лифта пассажирского</t>
  </si>
  <si>
    <t>ЛС 02-01-10</t>
  </si>
  <si>
    <t>Автоматизация санитарно-технических устройств</t>
  </si>
  <si>
    <t>ЛС 02-01-11</t>
  </si>
  <si>
    <t>Пожарную сигнализацию и оповещение о пожаре</t>
  </si>
  <si>
    <t>ЛС 02-01-12</t>
  </si>
  <si>
    <t>Узел управления</t>
  </si>
  <si>
    <t>ЛС 02-01-13</t>
  </si>
  <si>
    <t>Силовое электрооборудование</t>
  </si>
  <si>
    <t>ЛС 02-01-14</t>
  </si>
  <si>
    <t>Электроосвещение</t>
  </si>
  <si>
    <t>ЛС 02-01-15</t>
  </si>
  <si>
    <t>Сети связи</t>
  </si>
  <si>
    <t>ЛС 02-01-16</t>
  </si>
  <si>
    <t>Систему охранного телевидения</t>
  </si>
  <si>
    <t>ЛС 02-01-17</t>
  </si>
  <si>
    <t>Водоснабжение и канализация</t>
  </si>
  <si>
    <t>ЛС 02-01-18</t>
  </si>
  <si>
    <t>Технологические решения</t>
  </si>
  <si>
    <t>Итого по разделу "Локальные сметные расчеты"</t>
  </si>
  <si>
    <t>Временные здания и сооружения</t>
  </si>
  <si>
    <t>ГСН-81-05-01-2001 п.4.2</t>
  </si>
  <si>
    <t>Временные здания и сооружения - 1,8%</t>
  </si>
  <si>
    <t>Итого по разделу "Временные здания и сооружения"</t>
  </si>
  <si>
    <t>Итого с учетом раздела "Временные здания и сооружения"</t>
  </si>
  <si>
    <t>Прочие работы и затраты</t>
  </si>
  <si>
    <t>ГСН-81-05-01-2001 п.11.4</t>
  </si>
  <si>
    <t>Производство работ в зимнее время - 3%</t>
  </si>
  <si>
    <t>Итого по разделу "Прочие работы и затраты"</t>
  </si>
  <si>
    <t>Итого с учетом раздела "Прочие работы и затраты"</t>
  </si>
  <si>
    <t>Непредвиденные затраты</t>
  </si>
  <si>
    <t>МДС 81-35.2004 п.4.96</t>
  </si>
  <si>
    <t>Непредвиденные затраты - 1%</t>
  </si>
  <si>
    <t>Итого по разделу "Непредвиденные затраты"</t>
  </si>
  <si>
    <t>Итого с учетом раздела "Непредвиденные затраты"</t>
  </si>
  <si>
    <t>Всего по объектной смете</t>
  </si>
  <si>
    <t>Руководитель проекта (ГАП): ___________________________О.В. Шитикова</t>
  </si>
  <si>
    <t>(должность, подпись, расшифровка)</t>
  </si>
  <si>
    <t>Начальник сметного отдела: ___________________________В.В. Омельченко</t>
  </si>
  <si>
    <t>Составил: ___________________________М.В. Колотуша   № 84944</t>
  </si>
  <si>
    <t>ОБЪЕКТНАЯ СМЕТА № 02-01</t>
  </si>
  <si>
    <t>Составлен(а) в ценах по состоянию на 01.08.2015г.</t>
  </si>
  <si>
    <t>Конструкции металлические</t>
  </si>
  <si>
    <t>Общеобразовательная школа на 550 мест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</si>
</sst>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tabSelected="1" zoomScalePageLayoutView="0" workbookViewId="0" topLeftCell="A6">
      <selection activeCell="L24" sqref="L24"/>
    </sheetView>
  </sheetViews>
  <sheetFormatPr defaultColWidth="9.00390625" defaultRowHeight="12.75"/>
  <cols>
    <col min="1" max="1" width="5.00390625" style="1" customWidth="1"/>
    <col min="2" max="2" width="10.875" style="11" customWidth="1"/>
    <col min="3" max="3" width="37.25390625" style="10" customWidth="1"/>
    <col min="4" max="4" width="14.25390625" style="8" customWidth="1"/>
    <col min="5" max="5" width="12.625" style="8" customWidth="1"/>
    <col min="6" max="6" width="11.75390625" style="8" customWidth="1"/>
    <col min="7" max="7" width="11.125" style="8" customWidth="1"/>
    <col min="8" max="8" width="15.00390625" style="8" customWidth="1"/>
  </cols>
  <sheetData>
    <row r="1" spans="4:8" ht="12.75">
      <c r="D1" s="4"/>
      <c r="E1" s="4"/>
      <c r="F1" s="4"/>
      <c r="G1" s="4"/>
      <c r="H1" s="4"/>
    </row>
    <row r="2" spans="4:8" ht="12.75">
      <c r="D2" s="5"/>
      <c r="E2" s="5" t="s">
        <v>74</v>
      </c>
      <c r="F2" s="5"/>
      <c r="G2" s="6"/>
      <c r="H2" s="6"/>
    </row>
    <row r="3" spans="4:8" ht="12.75">
      <c r="D3" s="4"/>
      <c r="E3" s="2" t="s">
        <v>0</v>
      </c>
      <c r="F3" s="4"/>
      <c r="G3" s="4"/>
      <c r="H3" s="4"/>
    </row>
    <row r="4" spans="4:8" ht="12.75">
      <c r="D4" s="4"/>
      <c r="E4" s="4"/>
      <c r="F4" s="4"/>
      <c r="G4" s="4"/>
      <c r="H4" s="4"/>
    </row>
    <row r="5" spans="4:8" ht="12.75">
      <c r="D5" s="4"/>
      <c r="E5" s="3" t="s">
        <v>71</v>
      </c>
      <c r="F5" s="4"/>
      <c r="G5" s="12"/>
      <c r="H5" s="4"/>
    </row>
    <row r="6" spans="4:8" ht="12.75">
      <c r="D6" s="4"/>
      <c r="E6" s="4" t="s">
        <v>1</v>
      </c>
      <c r="F6" s="4"/>
      <c r="G6" s="4"/>
      <c r="H6" s="4"/>
    </row>
    <row r="7" spans="4:8" ht="12.75">
      <c r="D7" s="4"/>
      <c r="E7" s="4"/>
      <c r="F7" s="4"/>
      <c r="G7" s="4"/>
      <c r="H7" s="4"/>
    </row>
    <row r="8" spans="3:8" ht="12.75">
      <c r="C8" s="8" t="s">
        <v>2</v>
      </c>
      <c r="D8" s="9" t="s">
        <v>74</v>
      </c>
      <c r="E8" s="5"/>
      <c r="F8" s="5"/>
      <c r="G8" s="4"/>
      <c r="H8" s="4"/>
    </row>
    <row r="9" spans="4:8" ht="12.75">
      <c r="D9" s="4"/>
      <c r="E9" s="2" t="s">
        <v>3</v>
      </c>
      <c r="F9" s="4"/>
      <c r="G9" s="4"/>
      <c r="H9" s="4"/>
    </row>
    <row r="10" spans="4:8" ht="12.75">
      <c r="D10" s="4"/>
      <c r="E10" s="4"/>
      <c r="F10" s="4"/>
      <c r="G10" s="4"/>
      <c r="H10" s="4"/>
    </row>
    <row r="11" spans="3:8" ht="12.75">
      <c r="C11" s="10" t="s">
        <v>13</v>
      </c>
      <c r="D11" s="7">
        <f>H39</f>
        <v>489115.45744642866</v>
      </c>
      <c r="E11" s="4"/>
      <c r="F11" s="4"/>
      <c r="G11" s="4"/>
      <c r="H11" s="4"/>
    </row>
    <row r="12" spans="3:8" ht="12.75">
      <c r="C12" s="10" t="s">
        <v>4</v>
      </c>
      <c r="D12" s="7"/>
      <c r="E12" s="4"/>
      <c r="F12" s="4"/>
      <c r="G12" s="4"/>
      <c r="H12" s="4"/>
    </row>
    <row r="13" spans="3:8" ht="12.75">
      <c r="C13" s="10" t="s">
        <v>72</v>
      </c>
      <c r="D13" s="7"/>
      <c r="E13" s="4"/>
      <c r="F13" s="4"/>
      <c r="G13" s="4"/>
      <c r="H13" s="4"/>
    </row>
    <row r="14" spans="4:8" ht="12.75">
      <c r="D14" s="4"/>
      <c r="E14" s="4"/>
      <c r="F14" s="4"/>
      <c r="G14" s="4"/>
      <c r="H14" s="4"/>
    </row>
    <row r="15" spans="1:8" ht="12.75" customHeight="1">
      <c r="A15" s="32" t="s">
        <v>5</v>
      </c>
      <c r="B15" s="37" t="s">
        <v>10</v>
      </c>
      <c r="C15" s="32" t="s">
        <v>11</v>
      </c>
      <c r="D15" s="36" t="s">
        <v>13</v>
      </c>
      <c r="E15" s="36"/>
      <c r="F15" s="36"/>
      <c r="G15" s="36"/>
      <c r="H15" s="36"/>
    </row>
    <row r="16" spans="1:8" ht="12.75">
      <c r="A16" s="32"/>
      <c r="B16" s="37"/>
      <c r="C16" s="32"/>
      <c r="D16" s="32" t="s">
        <v>12</v>
      </c>
      <c r="E16" s="32" t="s">
        <v>6</v>
      </c>
      <c r="F16" s="32" t="s">
        <v>7</v>
      </c>
      <c r="G16" s="32" t="s">
        <v>8</v>
      </c>
      <c r="H16" s="32" t="s">
        <v>9</v>
      </c>
    </row>
    <row r="17" spans="1:8" ht="12.75">
      <c r="A17" s="32"/>
      <c r="B17" s="37"/>
      <c r="C17" s="32"/>
      <c r="D17" s="32"/>
      <c r="E17" s="32"/>
      <c r="F17" s="32"/>
      <c r="G17" s="32"/>
      <c r="H17" s="32"/>
    </row>
    <row r="18" spans="1:8" ht="12.75">
      <c r="A18" s="32"/>
      <c r="B18" s="37"/>
      <c r="C18" s="32"/>
      <c r="D18" s="32"/>
      <c r="E18" s="32"/>
      <c r="F18" s="32"/>
      <c r="G18" s="32"/>
      <c r="H18" s="32"/>
    </row>
    <row r="19" spans="1:8" ht="12.75">
      <c r="A19" s="13">
        <v>1</v>
      </c>
      <c r="B19" s="14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</row>
    <row r="20" spans="1:8" ht="12.75">
      <c r="A20" s="33" t="s">
        <v>14</v>
      </c>
      <c r="B20" s="34"/>
      <c r="C20" s="35"/>
      <c r="D20" s="35"/>
      <c r="E20" s="35"/>
      <c r="F20" s="35"/>
      <c r="G20" s="35"/>
      <c r="H20" s="35"/>
    </row>
    <row r="21" spans="1:8" ht="12.75">
      <c r="A21" s="16">
        <v>1</v>
      </c>
      <c r="B21" s="17" t="s">
        <v>15</v>
      </c>
      <c r="C21" s="18" t="s">
        <v>16</v>
      </c>
      <c r="D21" s="19">
        <f>2371.8*D55</f>
        <v>49686.348499510685</v>
      </c>
      <c r="E21" s="20"/>
      <c r="F21" s="20"/>
      <c r="G21" s="20"/>
      <c r="H21" s="19">
        <f aca="true" t="shared" si="0" ref="H21:H27">SUM(D21:G21)</f>
        <v>49686.348499510685</v>
      </c>
    </row>
    <row r="22" spans="1:8" ht="12.75">
      <c r="A22" s="16">
        <v>2</v>
      </c>
      <c r="B22" s="17" t="s">
        <v>17</v>
      </c>
      <c r="C22" s="18" t="s">
        <v>18</v>
      </c>
      <c r="D22" s="19">
        <f>10292.44*D55</f>
        <v>215614.2005018567</v>
      </c>
      <c r="E22" s="20"/>
      <c r="F22" s="20"/>
      <c r="G22" s="20"/>
      <c r="H22" s="19">
        <f t="shared" si="0"/>
        <v>215614.2005018567</v>
      </c>
    </row>
    <row r="23" spans="1:8" ht="12.75">
      <c r="A23" s="16">
        <v>3</v>
      </c>
      <c r="B23" s="17" t="s">
        <v>19</v>
      </c>
      <c r="C23" s="18" t="s">
        <v>20</v>
      </c>
      <c r="D23" s="19">
        <f>682.09*D55</f>
        <v>14288.962580331918</v>
      </c>
      <c r="E23" s="20"/>
      <c r="F23" s="20"/>
      <c r="G23" s="20"/>
      <c r="H23" s="19">
        <f t="shared" si="0"/>
        <v>14288.962580331918</v>
      </c>
    </row>
    <row r="24" spans="1:8" ht="12.75">
      <c r="A24" s="24">
        <v>4</v>
      </c>
      <c r="B24" s="25" t="s">
        <v>21</v>
      </c>
      <c r="C24" s="26" t="s">
        <v>73</v>
      </c>
      <c r="D24" s="27">
        <f>2884.74*D55</f>
        <v>60431.82265388246</v>
      </c>
      <c r="E24" s="28"/>
      <c r="F24" s="28"/>
      <c r="G24" s="28"/>
      <c r="H24" s="27">
        <f t="shared" si="0"/>
        <v>60431.82265388246</v>
      </c>
    </row>
    <row r="25" spans="1:8" ht="12.75">
      <c r="A25" s="16">
        <v>5</v>
      </c>
      <c r="B25" s="17" t="s">
        <v>22</v>
      </c>
      <c r="C25" s="18" t="s">
        <v>23</v>
      </c>
      <c r="D25" s="19">
        <f>278.9*D55</f>
        <v>5842.618516111615</v>
      </c>
      <c r="E25" s="19">
        <f>4.59*E55</f>
        <v>62.2388614906042</v>
      </c>
      <c r="F25" s="20"/>
      <c r="G25" s="20"/>
      <c r="H25" s="19">
        <f t="shared" si="0"/>
        <v>5904.857377602219</v>
      </c>
    </row>
    <row r="26" spans="1:8" ht="12.75">
      <c r="A26" s="16">
        <v>6</v>
      </c>
      <c r="B26" s="17" t="s">
        <v>24</v>
      </c>
      <c r="C26" s="18" t="s">
        <v>25</v>
      </c>
      <c r="D26" s="19">
        <f>38.92*D55</f>
        <v>815.3270442705775</v>
      </c>
      <c r="E26" s="20"/>
      <c r="F26" s="20"/>
      <c r="G26" s="20"/>
      <c r="H26" s="19">
        <f t="shared" si="0"/>
        <v>815.3270442705775</v>
      </c>
    </row>
    <row r="27" spans="1:8" ht="12.75">
      <c r="A27" s="16">
        <v>7</v>
      </c>
      <c r="B27" s="17" t="s">
        <v>26</v>
      </c>
      <c r="C27" s="18" t="s">
        <v>27</v>
      </c>
      <c r="D27" s="19">
        <f>1146.48*D55</f>
        <v>24017.372808718697</v>
      </c>
      <c r="E27" s="19">
        <f>7.62*E55</f>
        <v>103.32464587329063</v>
      </c>
      <c r="F27" s="19">
        <f>846.62*F55</f>
        <v>10884.810704546922</v>
      </c>
      <c r="G27" s="20"/>
      <c r="H27" s="19">
        <f t="shared" si="0"/>
        <v>35005.50815913891</v>
      </c>
    </row>
    <row r="28" spans="1:8" ht="12.75">
      <c r="A28" s="16">
        <v>8</v>
      </c>
      <c r="B28" s="17" t="s">
        <v>28</v>
      </c>
      <c r="C28" s="18" t="s">
        <v>29</v>
      </c>
      <c r="D28" s="20"/>
      <c r="E28" s="19">
        <f>5.89*E55</f>
        <v>79.86642574720233</v>
      </c>
      <c r="F28" s="19">
        <f>79.84*F55</f>
        <v>1026.485656671265</v>
      </c>
      <c r="G28" s="20"/>
      <c r="H28" s="19">
        <f>SUM(E28:G28)</f>
        <v>1106.3520824184673</v>
      </c>
    </row>
    <row r="29" spans="1:8" ht="12.75">
      <c r="A29" s="16">
        <v>9</v>
      </c>
      <c r="B29" s="17" t="s">
        <v>30</v>
      </c>
      <c r="C29" s="18" t="s">
        <v>31</v>
      </c>
      <c r="D29" s="20"/>
      <c r="E29" s="19">
        <f>19.51*E55</f>
        <v>264.5490604970998</v>
      </c>
      <c r="F29" s="19">
        <f>1071.26*F55</f>
        <v>13772.958724519778</v>
      </c>
      <c r="G29" s="20"/>
      <c r="H29" s="19">
        <f>SUM(E29:G29)</f>
        <v>14037.507785016878</v>
      </c>
    </row>
    <row r="30" spans="1:8" ht="25.5">
      <c r="A30" s="16">
        <v>10</v>
      </c>
      <c r="B30" s="17" t="s">
        <v>32</v>
      </c>
      <c r="C30" s="18" t="s">
        <v>33</v>
      </c>
      <c r="D30" s="19">
        <f>0.09*D55</f>
        <v>1.88539141789188</v>
      </c>
      <c r="E30" s="19">
        <f>75.19*E55</f>
        <v>1019.5511972720108</v>
      </c>
      <c r="F30" s="19">
        <f>78.06*F55</f>
        <v>1003.6005806583032</v>
      </c>
      <c r="G30" s="20"/>
      <c r="H30" s="19">
        <f>SUM(D30:G30)</f>
        <v>2025.037169348206</v>
      </c>
    </row>
    <row r="31" spans="1:8" ht="25.5">
      <c r="A31" s="16">
        <v>11</v>
      </c>
      <c r="B31" s="17" t="s">
        <v>34</v>
      </c>
      <c r="C31" s="18" t="s">
        <v>35</v>
      </c>
      <c r="D31" s="20"/>
      <c r="E31" s="19">
        <v>168.87</v>
      </c>
      <c r="F31" s="19">
        <f>18.55*F55</f>
        <v>238.4933483373242</v>
      </c>
      <c r="G31" s="20"/>
      <c r="H31" s="19">
        <f>SUM(E31:G31)</f>
        <v>407.36334833732417</v>
      </c>
    </row>
    <row r="32" spans="1:8" ht="12.75">
      <c r="A32" s="16">
        <v>12</v>
      </c>
      <c r="B32" s="17" t="s">
        <v>36</v>
      </c>
      <c r="C32" s="18" t="s">
        <v>37</v>
      </c>
      <c r="D32" s="19">
        <f>139.42*D55</f>
        <v>2920.6807942498435</v>
      </c>
      <c r="E32" s="19">
        <f>3.6*E55</f>
        <v>48.81479332596408</v>
      </c>
      <c r="F32" s="19">
        <f>70.47*F55</f>
        <v>906.017587996293</v>
      </c>
      <c r="G32" s="20"/>
      <c r="H32" s="19">
        <f>SUM(D32:G32)</f>
        <v>3875.513175572101</v>
      </c>
    </row>
    <row r="33" spans="1:8" ht="12.75">
      <c r="A33" s="16">
        <v>13</v>
      </c>
      <c r="B33" s="17" t="s">
        <v>38</v>
      </c>
      <c r="C33" s="18" t="s">
        <v>39</v>
      </c>
      <c r="D33" s="19">
        <f>38.64*D55</f>
        <v>809.4613820815805</v>
      </c>
      <c r="E33" s="19">
        <f>579.54*E55</f>
        <v>7858.36814559145</v>
      </c>
      <c r="F33" s="19">
        <f>70.99*F55</f>
        <v>912.7031158203041</v>
      </c>
      <c r="G33" s="20"/>
      <c r="H33" s="19">
        <f>SUM(D33:G33)</f>
        <v>9580.532643493336</v>
      </c>
    </row>
    <row r="34" spans="1:8" ht="12.75">
      <c r="A34" s="16">
        <v>14</v>
      </c>
      <c r="B34" s="17" t="s">
        <v>40</v>
      </c>
      <c r="C34" s="18" t="s">
        <v>41</v>
      </c>
      <c r="D34" s="19">
        <f>24.03*D55</f>
        <v>503.399508577132</v>
      </c>
      <c r="E34" s="19">
        <f>1120.03*E55</f>
        <v>15187.231380244319</v>
      </c>
      <c r="F34" s="19">
        <f>6.43*F55</f>
        <v>82.66912290075442</v>
      </c>
      <c r="G34" s="20"/>
      <c r="H34" s="19">
        <f>SUM(D34:G34)</f>
        <v>15773.300011722204</v>
      </c>
    </row>
    <row r="35" spans="1:8" ht="12.75">
      <c r="A35" s="16">
        <v>15</v>
      </c>
      <c r="B35" s="17" t="s">
        <v>42</v>
      </c>
      <c r="C35" s="18" t="s">
        <v>43</v>
      </c>
      <c r="D35" s="19">
        <f>0.94*D55</f>
        <v>19.69186592020408</v>
      </c>
      <c r="E35" s="19">
        <f>137.06*E55</f>
        <v>1858.4876592379546</v>
      </c>
      <c r="F35" s="19">
        <f>157.98*F55</f>
        <v>2031.1147800717235</v>
      </c>
      <c r="G35" s="20"/>
      <c r="H35" s="19">
        <f>SUM(D35:G35)</f>
        <v>3909.2943052298824</v>
      </c>
    </row>
    <row r="36" spans="1:8" ht="12.75">
      <c r="A36" s="16">
        <v>16</v>
      </c>
      <c r="B36" s="17" t="s">
        <v>44</v>
      </c>
      <c r="C36" s="18" t="s">
        <v>45</v>
      </c>
      <c r="D36" s="20"/>
      <c r="E36" s="19">
        <f>33.6*E55</f>
        <v>455.6047377089981</v>
      </c>
      <c r="F36" s="19">
        <f>66.02*F55</f>
        <v>848.804897963889</v>
      </c>
      <c r="G36" s="20"/>
      <c r="H36" s="19">
        <f>SUM(E36:G36)</f>
        <v>1304.409635672887</v>
      </c>
    </row>
    <row r="37" spans="1:8" ht="12.75">
      <c r="A37" s="16">
        <v>17</v>
      </c>
      <c r="B37" s="17" t="s">
        <v>46</v>
      </c>
      <c r="C37" s="18" t="s">
        <v>47</v>
      </c>
      <c r="D37" s="19">
        <f>884.47*D55</f>
        <v>18528.57941536479</v>
      </c>
      <c r="E37" s="19">
        <f>4.27*E55</f>
        <v>57.8997687505185</v>
      </c>
      <c r="F37" s="19">
        <f>313*F55</f>
        <v>4024.173478683691</v>
      </c>
      <c r="G37" s="20"/>
      <c r="H37" s="19">
        <f>SUM(D37:G37)</f>
        <v>22610.652662799</v>
      </c>
    </row>
    <row r="38" spans="1:8" ht="12.75">
      <c r="A38" s="16">
        <v>18</v>
      </c>
      <c r="B38" s="17" t="s">
        <v>48</v>
      </c>
      <c r="C38" s="18" t="s">
        <v>49</v>
      </c>
      <c r="D38" s="19">
        <f>4.6*D55</f>
        <v>96.3644502478072</v>
      </c>
      <c r="E38" s="19">
        <f>1.53*E55</f>
        <v>20.746287163534735</v>
      </c>
      <c r="F38" s="19">
        <f>2372.32*F55</f>
        <v>30500.406475881453</v>
      </c>
      <c r="G38" s="20"/>
      <c r="H38" s="19">
        <f>SUM(D38:G38)</f>
        <v>30617.517213292795</v>
      </c>
    </row>
    <row r="39" spans="1:8" ht="25.5">
      <c r="A39" s="21"/>
      <c r="B39" s="22"/>
      <c r="C39" s="18" t="s">
        <v>50</v>
      </c>
      <c r="D39" s="19">
        <f>18787.56*D55</f>
        <v>393576.71541254193</v>
      </c>
      <c r="E39" s="19">
        <f>2161.3*E55</f>
        <v>29306.503559835048</v>
      </c>
      <c r="F39" s="19">
        <f>5151.54*F55</f>
        <v>66232.2384740517</v>
      </c>
      <c r="G39" s="20"/>
      <c r="H39" s="19">
        <f>SUM(D39:G39)</f>
        <v>489115.45744642866</v>
      </c>
    </row>
    <row r="40" spans="1:8" ht="12.75" hidden="1">
      <c r="A40" s="33" t="s">
        <v>51</v>
      </c>
      <c r="B40" s="34"/>
      <c r="C40" s="35"/>
      <c r="D40" s="35"/>
      <c r="E40" s="35"/>
      <c r="F40" s="35"/>
      <c r="G40" s="35"/>
      <c r="H40" s="35"/>
    </row>
    <row r="41" spans="1:8" ht="25.5" hidden="1">
      <c r="A41" s="16">
        <v>19</v>
      </c>
      <c r="B41" s="17" t="s">
        <v>52</v>
      </c>
      <c r="C41" s="18" t="s">
        <v>53</v>
      </c>
      <c r="D41" s="19">
        <f>338.18*D55</f>
        <v>7084.4629966964</v>
      </c>
      <c r="E41" s="19">
        <f>38.9*E55</f>
        <v>527.4709612166674</v>
      </c>
      <c r="F41" s="20"/>
      <c r="G41" s="20"/>
      <c r="H41" s="19">
        <f>SUM(D41:G41)</f>
        <v>7611.933957913067</v>
      </c>
    </row>
    <row r="42" spans="1:8" ht="25.5" hidden="1">
      <c r="A42" s="21"/>
      <c r="B42" s="22"/>
      <c r="C42" s="18" t="s">
        <v>54</v>
      </c>
      <c r="D42" s="19">
        <f>338.18*D55</f>
        <v>7084.4629966964</v>
      </c>
      <c r="E42" s="19">
        <f>38.9*E55</f>
        <v>527.4709612166674</v>
      </c>
      <c r="F42" s="20"/>
      <c r="G42" s="20"/>
      <c r="H42" s="19">
        <f>SUM(D42:G42)</f>
        <v>7611.933957913067</v>
      </c>
    </row>
    <row r="43" spans="1:8" ht="25.5" hidden="1">
      <c r="A43" s="21"/>
      <c r="B43" s="22"/>
      <c r="C43" s="18" t="s">
        <v>55</v>
      </c>
      <c r="D43" s="19">
        <f>19125.74*D55</f>
        <v>400661.17840923835</v>
      </c>
      <c r="E43" s="19">
        <f>2200.2*E55</f>
        <v>29833.97452105171</v>
      </c>
      <c r="F43" s="19">
        <f>5151.54*F55</f>
        <v>66232.2384740517</v>
      </c>
      <c r="G43" s="20"/>
      <c r="H43" s="19">
        <f>SUM(D43:G43)</f>
        <v>496727.39140434173</v>
      </c>
    </row>
    <row r="44" spans="1:8" ht="12.75" hidden="1">
      <c r="A44" s="33" t="s">
        <v>56</v>
      </c>
      <c r="B44" s="34"/>
      <c r="C44" s="35"/>
      <c r="D44" s="35"/>
      <c r="E44" s="35"/>
      <c r="F44" s="35"/>
      <c r="G44" s="35"/>
      <c r="H44" s="35"/>
    </row>
    <row r="45" spans="1:8" ht="38.25" hidden="1">
      <c r="A45" s="16">
        <v>20</v>
      </c>
      <c r="B45" s="17" t="s">
        <v>57</v>
      </c>
      <c r="C45" s="18" t="s">
        <v>58</v>
      </c>
      <c r="D45" s="19">
        <f>573.77*D55</f>
        <v>12019.789264931378</v>
      </c>
      <c r="E45" s="19">
        <f>66.01*E55</f>
        <v>895.0734742908026</v>
      </c>
      <c r="F45" s="20"/>
      <c r="G45" s="20"/>
      <c r="H45" s="19">
        <f>SUM(D45:G45)</f>
        <v>12914.86273922218</v>
      </c>
    </row>
    <row r="46" spans="1:8" ht="25.5" hidden="1">
      <c r="A46" s="21"/>
      <c r="B46" s="22"/>
      <c r="C46" s="18" t="s">
        <v>59</v>
      </c>
      <c r="D46" s="19">
        <f>573.77*D55</f>
        <v>12019.789264931378</v>
      </c>
      <c r="E46" s="19">
        <f>66.01*E55</f>
        <v>895.0734742908026</v>
      </c>
      <c r="F46" s="20"/>
      <c r="G46" s="20"/>
      <c r="H46" s="19">
        <f>SUM(D46:G46)</f>
        <v>12914.86273922218</v>
      </c>
    </row>
    <row r="47" spans="1:8" ht="25.5" hidden="1">
      <c r="A47" s="21"/>
      <c r="B47" s="22"/>
      <c r="C47" s="18" t="s">
        <v>60</v>
      </c>
      <c r="D47" s="19">
        <f>19699.51*D55</f>
        <v>412680.96767416963</v>
      </c>
      <c r="E47" s="19">
        <f>2266.21*E55</f>
        <v>30729.047995342517</v>
      </c>
      <c r="F47" s="19">
        <f>5151.54*F55</f>
        <v>66232.2384740517</v>
      </c>
      <c r="G47" s="20"/>
      <c r="H47" s="19">
        <f>SUM(D47:G47)</f>
        <v>509642.25414356386</v>
      </c>
    </row>
    <row r="48" spans="1:8" ht="12.75" hidden="1">
      <c r="A48" s="33" t="s">
        <v>61</v>
      </c>
      <c r="B48" s="34"/>
      <c r="C48" s="35"/>
      <c r="D48" s="35"/>
      <c r="E48" s="35"/>
      <c r="F48" s="35"/>
      <c r="G48" s="35"/>
      <c r="H48" s="35"/>
    </row>
    <row r="49" spans="1:8" ht="38.25" hidden="1">
      <c r="A49" s="16">
        <v>21</v>
      </c>
      <c r="B49" s="17" t="s">
        <v>62</v>
      </c>
      <c r="C49" s="18" t="s">
        <v>63</v>
      </c>
      <c r="D49" s="19">
        <f>197*D55</f>
        <v>4126.912325830004</v>
      </c>
      <c r="E49" s="19">
        <f>2.66*E55</f>
        <v>36.06870840196235</v>
      </c>
      <c r="F49" s="19">
        <f>51.52*F55</f>
        <v>662.381525948191</v>
      </c>
      <c r="G49" s="20"/>
      <c r="H49" s="19">
        <f>SUM(D49:G49)</f>
        <v>4825.362560180158</v>
      </c>
    </row>
    <row r="50" spans="1:8" ht="25.5" hidden="1">
      <c r="A50" s="21"/>
      <c r="B50" s="22"/>
      <c r="C50" s="18" t="s">
        <v>64</v>
      </c>
      <c r="D50" s="19">
        <f>197*D55</f>
        <v>4126.912325830004</v>
      </c>
      <c r="E50" s="19">
        <f>22.66*E55</f>
        <v>307.26200465731836</v>
      </c>
      <c r="F50" s="19">
        <f>51.52*F55</f>
        <v>662.381525948191</v>
      </c>
      <c r="G50" s="20"/>
      <c r="H50" s="19">
        <f>SUM(D50:G50)</f>
        <v>5096.555856435513</v>
      </c>
    </row>
    <row r="51" spans="1:8" ht="25.5" hidden="1">
      <c r="A51" s="21"/>
      <c r="B51" s="22"/>
      <c r="C51" s="18" t="s">
        <v>65</v>
      </c>
      <c r="D51" s="19">
        <f>19896.51*D55</f>
        <v>416807.87999999966</v>
      </c>
      <c r="E51" s="19">
        <f>2288.87*E55</f>
        <v>31036.30999999983</v>
      </c>
      <c r="F51" s="19">
        <f>5203.06*F55</f>
        <v>66894.6199999999</v>
      </c>
      <c r="G51" s="20"/>
      <c r="H51" s="19">
        <f>SUM(D51:G51)</f>
        <v>514738.80999999936</v>
      </c>
    </row>
    <row r="52" spans="1:8" ht="12.75" hidden="1">
      <c r="A52" s="21"/>
      <c r="B52" s="22"/>
      <c r="C52" s="18" t="s">
        <v>66</v>
      </c>
      <c r="D52" s="19">
        <f>19896.51*D55</f>
        <v>416807.87999999966</v>
      </c>
      <c r="E52" s="19">
        <f>2288.87*E55</f>
        <v>31036.30999999983</v>
      </c>
      <c r="F52" s="19">
        <f>5203.06*F55</f>
        <v>66894.6199999999</v>
      </c>
      <c r="G52" s="20"/>
      <c r="H52" s="19">
        <f>SUM(D52:G52)</f>
        <v>514738.80999999936</v>
      </c>
    </row>
    <row r="54" spans="4:8" ht="12.75" hidden="1">
      <c r="D54" s="23">
        <v>416807.88</v>
      </c>
      <c r="E54" s="23">
        <v>31036.31</v>
      </c>
      <c r="F54" s="23">
        <v>66894.62</v>
      </c>
      <c r="H54" s="23">
        <v>514738.81</v>
      </c>
    </row>
    <row r="55" spans="4:8" ht="12.75" hidden="1">
      <c r="D55" s="8">
        <v>20.948793532132</v>
      </c>
      <c r="E55" s="8">
        <v>13.5596648127678</v>
      </c>
      <c r="F55" s="8">
        <v>12.8567842769447</v>
      </c>
      <c r="H55" s="8">
        <v>18.7940171108686</v>
      </c>
    </row>
    <row r="56" spans="1:8" ht="12.75">
      <c r="A56" s="31" t="s">
        <v>67</v>
      </c>
      <c r="B56" s="30"/>
      <c r="C56" s="30"/>
      <c r="D56" s="30"/>
      <c r="E56" s="30"/>
      <c r="F56" s="30"/>
      <c r="G56" s="30"/>
      <c r="H56" s="30"/>
    </row>
    <row r="57" spans="1:8" ht="12.75">
      <c r="A57" s="29" t="s">
        <v>68</v>
      </c>
      <c r="B57" s="30"/>
      <c r="C57" s="30"/>
      <c r="D57" s="30"/>
      <c r="E57" s="30"/>
      <c r="F57" s="30"/>
      <c r="G57" s="30"/>
      <c r="H57" s="30"/>
    </row>
    <row r="59" spans="1:8" ht="12.75">
      <c r="A59" s="31" t="s">
        <v>69</v>
      </c>
      <c r="B59" s="30"/>
      <c r="C59" s="30"/>
      <c r="D59" s="30"/>
      <c r="E59" s="30"/>
      <c r="F59" s="30"/>
      <c r="G59" s="30"/>
      <c r="H59" s="30"/>
    </row>
    <row r="60" spans="1:8" ht="12.75">
      <c r="A60" s="29" t="s">
        <v>68</v>
      </c>
      <c r="B60" s="30"/>
      <c r="C60" s="30"/>
      <c r="D60" s="30"/>
      <c r="E60" s="30"/>
      <c r="F60" s="30"/>
      <c r="G60" s="30"/>
      <c r="H60" s="30"/>
    </row>
    <row r="62" spans="1:8" ht="12.75">
      <c r="A62" s="31" t="s">
        <v>70</v>
      </c>
      <c r="B62" s="30"/>
      <c r="C62" s="30"/>
      <c r="D62" s="30"/>
      <c r="E62" s="30"/>
      <c r="F62" s="30"/>
      <c r="G62" s="30"/>
      <c r="H62" s="30"/>
    </row>
    <row r="63" spans="1:8" ht="12.75">
      <c r="A63" s="29" t="s">
        <v>68</v>
      </c>
      <c r="B63" s="30"/>
      <c r="C63" s="30"/>
      <c r="D63" s="30"/>
      <c r="E63" s="30"/>
      <c r="F63" s="30"/>
      <c r="G63" s="30"/>
      <c r="H63" s="30"/>
    </row>
  </sheetData>
  <sheetProtection/>
  <mergeCells count="19">
    <mergeCell ref="D15:H15"/>
    <mergeCell ref="A56:H56"/>
    <mergeCell ref="F16:F18"/>
    <mergeCell ref="G16:G18"/>
    <mergeCell ref="H16:H18"/>
    <mergeCell ref="A15:A18"/>
    <mergeCell ref="B15:B18"/>
    <mergeCell ref="C15:C18"/>
    <mergeCell ref="D16:D18"/>
    <mergeCell ref="A57:H57"/>
    <mergeCell ref="A59:H59"/>
    <mergeCell ref="A60:H60"/>
    <mergeCell ref="A62:H62"/>
    <mergeCell ref="A63:H63"/>
    <mergeCell ref="E16:E18"/>
    <mergeCell ref="A20:H20"/>
    <mergeCell ref="A40:H40"/>
    <mergeCell ref="A44:H44"/>
    <mergeCell ref="A48:H4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SVlaskin</cp:lastModifiedBy>
  <cp:lastPrinted>2013-11-20T09:34:54Z</cp:lastPrinted>
  <dcterms:created xsi:type="dcterms:W3CDTF">2002-03-25T05:35:56Z</dcterms:created>
  <dcterms:modified xsi:type="dcterms:W3CDTF">2018-01-31T13:42:45Z</dcterms:modified>
  <cp:category/>
  <cp:version/>
  <cp:contentType/>
  <cp:contentStatus/>
</cp:coreProperties>
</file>